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charlotte-my.sharepoint.com/personal/ruth_ippolito_charlottenc_gov/Documents/Non Profit HOME RFP/"/>
    </mc:Choice>
  </mc:AlternateContent>
  <xr:revisionPtr revIDLastSave="1" documentId="8_{1204B140-2033-490E-84C8-46642360E1B8}" xr6:coauthVersionLast="47" xr6:coauthVersionMax="47" xr10:uidLastSave="{AC42A67E-F8E7-47B2-8DFC-FCD664B7CB92}"/>
  <bookViews>
    <workbookView xWindow="-108" yWindow="-108" windowWidth="23256" windowHeight="12576" xr2:uid="{685DFD13-E9B1-40A9-A92F-3EDCAC3973A8}"/>
  </bookViews>
  <sheets>
    <sheet name="Sources Uses" sheetId="1" r:id="rId1"/>
    <sheet name="Mortgage Income Estim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21" i="1"/>
  <c r="D21" i="1" s="1"/>
  <c r="D26" i="1"/>
  <c r="E26" i="1"/>
  <c r="D39" i="1"/>
  <c r="E36" i="1"/>
  <c r="B15" i="2"/>
  <c r="K9" i="2"/>
  <c r="J9" i="2"/>
  <c r="I9" i="2"/>
  <c r="H9" i="2"/>
  <c r="G9" i="2"/>
  <c r="F9" i="2"/>
  <c r="E9" i="2"/>
  <c r="D9" i="2"/>
  <c r="C9" i="2"/>
  <c r="C36" i="1"/>
  <c r="B9" i="2"/>
  <c r="C17" i="1"/>
  <c r="C32" i="1"/>
  <c r="C31" i="1"/>
  <c r="C30" i="1"/>
  <c r="C29" i="1"/>
  <c r="C16" i="1"/>
  <c r="D16" i="1" s="1"/>
  <c r="F11" i="1"/>
  <c r="E39" i="1" s="1"/>
  <c r="F10" i="1"/>
  <c r="D42" i="1" s="1"/>
  <c r="H3" i="2"/>
  <c r="I3" i="2"/>
  <c r="E32" i="1"/>
  <c r="D13" i="1"/>
  <c r="E13" i="1"/>
  <c r="D14" i="1"/>
  <c r="D28" i="1"/>
  <c r="D30" i="1"/>
  <c r="D25" i="1"/>
  <c r="E20" i="1"/>
  <c r="D17" i="1"/>
  <c r="D24" i="1"/>
  <c r="D31" i="1"/>
  <c r="E31" i="1"/>
  <c r="D20" i="1"/>
  <c r="E19" i="1"/>
  <c r="E24" i="1"/>
  <c r="D32" i="1"/>
  <c r="C23" i="1" l="1"/>
  <c r="E23" i="1"/>
  <c r="D23" i="1"/>
  <c r="E15" i="1"/>
  <c r="D19" i="1"/>
  <c r="E28" i="1"/>
  <c r="E29" i="1"/>
  <c r="D3" i="2"/>
  <c r="E3" i="2"/>
  <c r="D37" i="1"/>
  <c r="E42" i="1"/>
  <c r="E21" i="1"/>
  <c r="D22" i="1"/>
  <c r="D15" i="1"/>
  <c r="D33" i="1" s="1"/>
  <c r="F3" i="2"/>
  <c r="E37" i="1"/>
  <c r="D40" i="1"/>
  <c r="E22" i="1"/>
  <c r="E18" i="1"/>
  <c r="E27" i="1"/>
  <c r="K3" i="2"/>
  <c r="E40" i="1"/>
  <c r="D43" i="1"/>
  <c r="C33" i="1"/>
  <c r="D29" i="1"/>
  <c r="E16" i="1"/>
  <c r="E17" i="1"/>
  <c r="E14" i="1"/>
  <c r="D27" i="1"/>
  <c r="J3" i="2"/>
  <c r="D18" i="1"/>
  <c r="D38" i="1"/>
  <c r="E43" i="1"/>
  <c r="E30" i="1"/>
  <c r="E25" i="1"/>
  <c r="B3" i="2"/>
  <c r="E38" i="1"/>
  <c r="D41" i="1"/>
  <c r="D36" i="1"/>
  <c r="E41" i="1"/>
  <c r="C3" i="2"/>
  <c r="G3" i="2"/>
  <c r="F32" i="1" l="1"/>
  <c r="F26" i="1"/>
  <c r="F21" i="1"/>
  <c r="F16" i="1"/>
  <c r="F38" i="1"/>
  <c r="F31" i="1"/>
  <c r="F15" i="1"/>
  <c r="F19" i="1"/>
  <c r="F43" i="1"/>
  <c r="F29" i="1"/>
  <c r="F13" i="1"/>
  <c r="F20" i="1"/>
  <c r="F40" i="1"/>
  <c r="F25" i="1"/>
  <c r="F37" i="1"/>
  <c r="F30" i="1"/>
  <c r="F42" i="1"/>
  <c r="F28" i="1"/>
  <c r="F17" i="1"/>
  <c r="F41" i="1"/>
  <c r="F14" i="1"/>
  <c r="F39" i="1"/>
  <c r="F27" i="1"/>
  <c r="F22" i="1"/>
  <c r="F18" i="1"/>
  <c r="F24" i="1"/>
  <c r="F23" i="1"/>
  <c r="E33" i="1"/>
  <c r="F36" i="1"/>
  <c r="F33" i="1" l="1"/>
  <c r="J4" i="2"/>
  <c r="K4" i="2"/>
  <c r="I4" i="2"/>
  <c r="E4" i="2"/>
  <c r="F4" i="2"/>
  <c r="H4" i="2"/>
  <c r="D4" i="2"/>
  <c r="C4" i="2"/>
  <c r="G4" i="2"/>
  <c r="B4" i="2"/>
  <c r="D10" i="2" l="1"/>
  <c r="D11" i="2"/>
  <c r="F11" i="2"/>
  <c r="F10" i="2"/>
  <c r="F12" i="2" s="1"/>
  <c r="F14" i="2" s="1"/>
  <c r="F17" i="2" s="1"/>
  <c r="E11" i="2"/>
  <c r="E10" i="2"/>
  <c r="E12" i="2" s="1"/>
  <c r="E14" i="2" s="1"/>
  <c r="E17" i="2" s="1"/>
  <c r="I11" i="2"/>
  <c r="I10" i="2"/>
  <c r="K11" i="2"/>
  <c r="K10" i="2"/>
  <c r="C11" i="2"/>
  <c r="C10" i="2"/>
  <c r="C12" i="2" s="1"/>
  <c r="C14" i="2" s="1"/>
  <c r="C17" i="2" s="1"/>
  <c r="H11" i="2"/>
  <c r="H10" i="2"/>
  <c r="B11" i="2"/>
  <c r="B10" i="2"/>
  <c r="B12" i="2" s="1"/>
  <c r="B14" i="2" s="1"/>
  <c r="B17" i="2" s="1"/>
  <c r="G11" i="2"/>
  <c r="G10" i="2"/>
  <c r="J10" i="2"/>
  <c r="J11" i="2"/>
  <c r="I12" i="2" l="1"/>
  <c r="I14" i="2" s="1"/>
  <c r="I17" i="2" s="1"/>
  <c r="H12" i="2"/>
  <c r="H14" i="2" s="1"/>
  <c r="H17" i="2" s="1"/>
  <c r="D12" i="2"/>
  <c r="D14" i="2" s="1"/>
  <c r="D17" i="2" s="1"/>
  <c r="J12" i="2"/>
  <c r="J14" i="2" s="1"/>
  <c r="J17" i="2" s="1"/>
  <c r="G12" i="2"/>
  <c r="G14" i="2" s="1"/>
  <c r="G17" i="2" s="1"/>
  <c r="B19" i="2" s="1"/>
  <c r="C35" i="1" s="1"/>
  <c r="K12" i="2"/>
  <c r="K14" i="2" s="1"/>
  <c r="K17" i="2" s="1"/>
  <c r="C44" i="1" l="1"/>
  <c r="C45" i="1" s="1"/>
  <c r="F35" i="1"/>
  <c r="E35" i="1"/>
  <c r="D35" i="1"/>
  <c r="F45" i="1" l="1"/>
  <c r="D45" i="1"/>
  <c r="E45" i="1"/>
</calcChain>
</file>

<file path=xl/sharedStrings.xml><?xml version="1.0" encoding="utf-8"?>
<sst xmlns="http://schemas.openxmlformats.org/spreadsheetml/2006/main" count="109" uniqueCount="81">
  <si>
    <t>Uses</t>
  </si>
  <si>
    <t>Land Acquistion Cost</t>
  </si>
  <si>
    <t>Cost</t>
  </si>
  <si>
    <t>Per Unit</t>
  </si>
  <si>
    <t>Per Square Foot</t>
  </si>
  <si>
    <t>Units</t>
  </si>
  <si>
    <t>Unit Name</t>
  </si>
  <si>
    <t>Beds</t>
  </si>
  <si>
    <t>Baths</t>
  </si>
  <si>
    <t>Square Footage</t>
  </si>
  <si>
    <t>Count</t>
  </si>
  <si>
    <t>Alpha</t>
  </si>
  <si>
    <t>Beta</t>
  </si>
  <si>
    <t>Total Units</t>
  </si>
  <si>
    <t>Total Construction SF</t>
  </si>
  <si>
    <t>Architectural Design Services</t>
  </si>
  <si>
    <t>Civil/ Survey/ Geotechnical</t>
  </si>
  <si>
    <t>Inspections/Permits</t>
  </si>
  <si>
    <t>Water/Sewer/Tap Fees</t>
  </si>
  <si>
    <t>Land Acquistion</t>
  </si>
  <si>
    <t>Design/ Engineering</t>
  </si>
  <si>
    <t>Other:</t>
  </si>
  <si>
    <t>Environmental</t>
  </si>
  <si>
    <t>Marketing</t>
  </si>
  <si>
    <t>Disposition</t>
  </si>
  <si>
    <t>Realtors Fees</t>
  </si>
  <si>
    <t>Seller Closing Costs</t>
  </si>
  <si>
    <t>Construction</t>
  </si>
  <si>
    <t>Financing</t>
  </si>
  <si>
    <t>Legal Fees</t>
  </si>
  <si>
    <t>Developer's Fee</t>
  </si>
  <si>
    <t>% Cost</t>
  </si>
  <si>
    <t>Insurance</t>
  </si>
  <si>
    <t>Horizontal Construction</t>
  </si>
  <si>
    <t>Vertical Construction</t>
  </si>
  <si>
    <t>Contractor Fees/Overhead</t>
  </si>
  <si>
    <t>Contingency</t>
  </si>
  <si>
    <t xml:space="preserve">Construction Financing </t>
  </si>
  <si>
    <t>Seller Paid Buyer's Closing Costs</t>
  </si>
  <si>
    <t>Charlie</t>
  </si>
  <si>
    <t>Unit Cost</t>
  </si>
  <si>
    <t>Buyer Family Size</t>
  </si>
  <si>
    <t>Buyer AMI</t>
  </si>
  <si>
    <t>Buyer Income</t>
  </si>
  <si>
    <t>Front End Ratio</t>
  </si>
  <si>
    <t>Buyer Scenario 1</t>
  </si>
  <si>
    <t>Buyer Max Payment</t>
  </si>
  <si>
    <t>Estimated Monthy Insurance</t>
  </si>
  <si>
    <t>Estimated Monthy Tax</t>
  </si>
  <si>
    <t>PI Payment</t>
  </si>
  <si>
    <t>Mortgage Rate</t>
  </si>
  <si>
    <t>First Mortgage</t>
  </si>
  <si>
    <t>Buyers</t>
  </si>
  <si>
    <t>In the Below selection, describe each unit type proposed for this development.</t>
  </si>
  <si>
    <t>Total Mortgage Revenue</t>
  </si>
  <si>
    <t>Average Unit SF</t>
  </si>
  <si>
    <t>Buyer Scenario 2</t>
  </si>
  <si>
    <t>Buyer Scenario 3</t>
  </si>
  <si>
    <t>Buyer Scenario 4</t>
  </si>
  <si>
    <t>Buyer Scenario 5</t>
  </si>
  <si>
    <t>Buyer Scenario 6</t>
  </si>
  <si>
    <t>Buyer Scenario 7</t>
  </si>
  <si>
    <t>Buyer Scenario 8</t>
  </si>
  <si>
    <t>Buyer Scenario 9</t>
  </si>
  <si>
    <t>Buyer Scenario 10</t>
  </si>
  <si>
    <t>Total Development Revenue</t>
  </si>
  <si>
    <t>Total Project Cost</t>
  </si>
  <si>
    <t>Sources</t>
  </si>
  <si>
    <t>First Mortgage Review</t>
  </si>
  <si>
    <t>House Charlotte</t>
  </si>
  <si>
    <t>CPLP</t>
  </si>
  <si>
    <t>Other Down Payment Assistance</t>
  </si>
  <si>
    <t>HTF Funding Requested</t>
  </si>
  <si>
    <t>CDBG Funding Requested</t>
  </si>
  <si>
    <t>HOME Funds Requested</t>
  </si>
  <si>
    <t>Source</t>
  </si>
  <si>
    <t>Total Sources</t>
  </si>
  <si>
    <t>Remaining Gap</t>
  </si>
  <si>
    <t>Amount</t>
  </si>
  <si>
    <t>Contribution to City Legal Costs</t>
  </si>
  <si>
    <t>Affordable Housing Development Workbook (HOME Funds)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</si>
</sst>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0" applyNumberFormat="1"/>
    <xf numFmtId="44" fontId="0" fillId="2" borderId="15" xfId="0" applyNumberFormat="1" applyFill="1" applyBorder="1"/>
    <xf numFmtId="44" fontId="0" fillId="2" borderId="15" xfId="2" applyFont="1" applyFill="1" applyBorder="1"/>
    <xf numFmtId="9" fontId="0" fillId="2" borderId="16" xfId="3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3" borderId="14" xfId="0" applyFill="1" applyBorder="1"/>
    <xf numFmtId="0" fontId="0" fillId="3" borderId="15" xfId="0" applyFill="1" applyBorder="1"/>
    <xf numFmtId="0" fontId="6" fillId="4" borderId="15" xfId="0" applyFont="1" applyFill="1" applyBorder="1"/>
    <xf numFmtId="44" fontId="0" fillId="4" borderId="15" xfId="2" applyFont="1" applyFill="1" applyBorder="1"/>
    <xf numFmtId="0" fontId="0" fillId="4" borderId="0" xfId="0" applyFill="1" applyBorder="1"/>
    <xf numFmtId="0" fontId="0" fillId="0" borderId="17" xfId="0" applyBorder="1"/>
    <xf numFmtId="1" fontId="0" fillId="0" borderId="17" xfId="0" applyNumberFormat="1" applyBorder="1" applyAlignment="1">
      <alignment horizontal="right"/>
    </xf>
    <xf numFmtId="44" fontId="0" fillId="0" borderId="17" xfId="0" applyNumberFormat="1" applyBorder="1"/>
    <xf numFmtId="0" fontId="0" fillId="4" borderId="17" xfId="0" applyFill="1" applyBorder="1"/>
    <xf numFmtId="9" fontId="0" fillId="4" borderId="17" xfId="3" applyFont="1" applyFill="1" applyBorder="1"/>
    <xf numFmtId="44" fontId="0" fillId="4" borderId="17" xfId="2" applyFont="1" applyFill="1" applyBorder="1"/>
    <xf numFmtId="9" fontId="0" fillId="4" borderId="17" xfId="0" applyNumberFormat="1" applyFill="1" applyBorder="1" applyAlignment="1">
      <alignment horizontal="right"/>
    </xf>
    <xf numFmtId="44" fontId="0" fillId="5" borderId="17" xfId="2" applyFont="1" applyFill="1" applyBorder="1"/>
    <xf numFmtId="44" fontId="0" fillId="5" borderId="17" xfId="0" applyNumberFormat="1" applyFill="1" applyBorder="1"/>
    <xf numFmtId="10" fontId="0" fillId="4" borderId="17" xfId="3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44" fontId="0" fillId="4" borderId="19" xfId="2" applyFont="1" applyFill="1" applyBorder="1"/>
    <xf numFmtId="44" fontId="0" fillId="2" borderId="19" xfId="0" applyNumberFormat="1" applyFill="1" applyBorder="1"/>
    <xf numFmtId="44" fontId="0" fillId="2" borderId="19" xfId="2" applyFont="1" applyFill="1" applyBorder="1"/>
    <xf numFmtId="9" fontId="0" fillId="2" borderId="20" xfId="3" applyFont="1" applyFill="1" applyBorder="1"/>
    <xf numFmtId="0" fontId="0" fillId="5" borderId="21" xfId="0" applyFill="1" applyBorder="1"/>
    <xf numFmtId="0" fontId="0" fillId="5" borderId="22" xfId="0" applyFill="1" applyBorder="1"/>
    <xf numFmtId="44" fontId="0" fillId="5" borderId="22" xfId="0" applyNumberFormat="1" applyFill="1" applyBorder="1"/>
    <xf numFmtId="9" fontId="0" fillId="5" borderId="23" xfId="3" applyFont="1" applyFill="1" applyBorder="1"/>
    <xf numFmtId="0" fontId="0" fillId="3" borderId="24" xfId="0" applyFont="1" applyFill="1" applyBorder="1"/>
    <xf numFmtId="0" fontId="0" fillId="4" borderId="25" xfId="0" applyFill="1" applyBorder="1"/>
    <xf numFmtId="0" fontId="0" fillId="4" borderId="26" xfId="0" applyFill="1" applyBorder="1"/>
    <xf numFmtId="0" fontId="0" fillId="3" borderId="27" xfId="0" applyFont="1" applyFill="1" applyBorder="1"/>
    <xf numFmtId="0" fontId="0" fillId="4" borderId="28" xfId="0" applyFill="1" applyBorder="1"/>
    <xf numFmtId="0" fontId="0" fillId="3" borderId="0" xfId="0" applyFill="1" applyBorder="1"/>
    <xf numFmtId="0" fontId="0" fillId="3" borderId="4" xfId="0" applyFill="1" applyBorder="1"/>
    <xf numFmtId="0" fontId="0" fillId="5" borderId="29" xfId="0" applyFill="1" applyBorder="1"/>
    <xf numFmtId="0" fontId="0" fillId="5" borderId="30" xfId="0" applyFill="1" applyBorder="1"/>
    <xf numFmtId="44" fontId="0" fillId="5" borderId="30" xfId="0" applyNumberFormat="1" applyFill="1" applyBorder="1"/>
    <xf numFmtId="9" fontId="0" fillId="5" borderId="31" xfId="3" applyFont="1" applyFill="1" applyBorder="1"/>
    <xf numFmtId="0" fontId="0" fillId="5" borderId="32" xfId="0" applyFill="1" applyBorder="1"/>
    <xf numFmtId="0" fontId="0" fillId="5" borderId="33" xfId="0" applyFill="1" applyBorder="1"/>
    <xf numFmtId="44" fontId="0" fillId="5" borderId="33" xfId="0" applyNumberFormat="1" applyFill="1" applyBorder="1"/>
    <xf numFmtId="9" fontId="0" fillId="5" borderId="34" xfId="3" applyFont="1" applyFill="1" applyBorder="1"/>
    <xf numFmtId="0" fontId="4" fillId="3" borderId="0" xfId="0" applyFont="1" applyFill="1" applyBorder="1"/>
    <xf numFmtId="44" fontId="0" fillId="3" borderId="15" xfId="2" applyFont="1" applyFill="1" applyBorder="1"/>
    <xf numFmtId="0" fontId="4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2392-10BF-4F87-8BE3-2D0A44878ABE}">
  <dimension ref="A1:F45"/>
  <sheetViews>
    <sheetView tabSelected="1" topLeftCell="A24" workbookViewId="0">
      <selection activeCell="A2" sqref="A2:F2"/>
    </sheetView>
  </sheetViews>
  <sheetFormatPr defaultRowHeight="14.4" x14ac:dyDescent="0.3"/>
  <cols>
    <col min="1" max="1" width="19.109375" customWidth="1"/>
    <col min="2" max="2" width="32.77734375" customWidth="1"/>
    <col min="3" max="3" width="15.21875" customWidth="1"/>
    <col min="4" max="4" width="12.33203125" customWidth="1"/>
    <col min="5" max="5" width="15.33203125" customWidth="1"/>
  </cols>
  <sheetData>
    <row r="1" spans="1:6" ht="18" x14ac:dyDescent="0.35">
      <c r="A1" s="1" t="s">
        <v>80</v>
      </c>
    </row>
    <row r="2" spans="1:6" ht="18.75" customHeight="1" thickBot="1" x14ac:dyDescent="0.35">
      <c r="A2" s="61" t="s">
        <v>53</v>
      </c>
      <c r="B2" s="61"/>
      <c r="C2" s="61"/>
      <c r="D2" s="61"/>
      <c r="E2" s="61"/>
      <c r="F2" s="61"/>
    </row>
    <row r="3" spans="1:6" ht="15.6" x14ac:dyDescent="0.3">
      <c r="A3" s="16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8" t="s">
        <v>10</v>
      </c>
    </row>
    <row r="4" spans="1:6" x14ac:dyDescent="0.3">
      <c r="A4" s="44">
        <v>1</v>
      </c>
      <c r="B4" s="45" t="s">
        <v>11</v>
      </c>
      <c r="C4" s="45">
        <v>2</v>
      </c>
      <c r="D4" s="45">
        <v>2</v>
      </c>
      <c r="E4" s="45">
        <v>1550</v>
      </c>
      <c r="F4" s="46">
        <v>15</v>
      </c>
    </row>
    <row r="5" spans="1:6" x14ac:dyDescent="0.3">
      <c r="A5" s="47">
        <v>2</v>
      </c>
      <c r="B5" s="27" t="s">
        <v>12</v>
      </c>
      <c r="C5" s="27">
        <v>3</v>
      </c>
      <c r="D5" s="27">
        <v>2</v>
      </c>
      <c r="E5" s="27">
        <v>1725</v>
      </c>
      <c r="F5" s="48">
        <v>15</v>
      </c>
    </row>
    <row r="6" spans="1:6" x14ac:dyDescent="0.3">
      <c r="A6" s="47">
        <v>3</v>
      </c>
      <c r="B6" s="27" t="s">
        <v>39</v>
      </c>
      <c r="C6" s="27">
        <v>4</v>
      </c>
      <c r="D6" s="27">
        <v>2</v>
      </c>
      <c r="E6" s="27">
        <v>1925</v>
      </c>
      <c r="F6" s="48">
        <v>8</v>
      </c>
    </row>
    <row r="7" spans="1:6" x14ac:dyDescent="0.3">
      <c r="A7" s="47">
        <v>4</v>
      </c>
      <c r="B7" s="27"/>
      <c r="C7" s="27"/>
      <c r="D7" s="27"/>
      <c r="E7" s="27"/>
      <c r="F7" s="48"/>
    </row>
    <row r="8" spans="1:6" x14ac:dyDescent="0.3">
      <c r="A8" s="47">
        <v>5</v>
      </c>
      <c r="B8" s="27"/>
      <c r="C8" s="27"/>
      <c r="D8" s="27"/>
      <c r="E8" s="27"/>
      <c r="F8" s="48"/>
    </row>
    <row r="9" spans="1:6" x14ac:dyDescent="0.3">
      <c r="A9" s="47">
        <v>6</v>
      </c>
      <c r="B9" s="27"/>
      <c r="C9" s="27"/>
      <c r="D9" s="27"/>
      <c r="E9" s="27"/>
      <c r="F9" s="48"/>
    </row>
    <row r="10" spans="1:6" x14ac:dyDescent="0.3">
      <c r="A10" s="7"/>
      <c r="B10" s="8" t="s">
        <v>13</v>
      </c>
      <c r="C10" s="8"/>
      <c r="D10" s="8"/>
      <c r="E10" s="8"/>
      <c r="F10" s="9">
        <f>SUM(F4:F9)</f>
        <v>38</v>
      </c>
    </row>
    <row r="11" spans="1:6" ht="15" thickBot="1" x14ac:dyDescent="0.35">
      <c r="A11" s="10"/>
      <c r="B11" s="11" t="s">
        <v>14</v>
      </c>
      <c r="C11" s="11"/>
      <c r="D11" s="11"/>
      <c r="E11" s="11"/>
      <c r="F11" s="12">
        <f>(E4*F4)+(E5*F5)+(E6*F6)+(E7*F7)+(E8*F8)+(E9*F9)</f>
        <v>64525</v>
      </c>
    </row>
    <row r="12" spans="1:6" s="2" customFormat="1" ht="15.6" x14ac:dyDescent="0.3">
      <c r="A12" s="13" t="s">
        <v>0</v>
      </c>
      <c r="B12" s="14"/>
      <c r="C12" s="14" t="s">
        <v>2</v>
      </c>
      <c r="D12" s="14" t="s">
        <v>3</v>
      </c>
      <c r="E12" s="14" t="s">
        <v>4</v>
      </c>
      <c r="F12" s="15" t="s">
        <v>31</v>
      </c>
    </row>
    <row r="13" spans="1:6" x14ac:dyDescent="0.3">
      <c r="A13" s="19" t="s">
        <v>19</v>
      </c>
      <c r="B13" s="20" t="s">
        <v>1</v>
      </c>
      <c r="C13" s="22">
        <v>1200000</v>
      </c>
      <c r="D13" s="4">
        <f>C13/$F$10</f>
        <v>31578.947368421053</v>
      </c>
      <c r="E13" s="5">
        <f>C13/$F$11</f>
        <v>18.597442851607905</v>
      </c>
      <c r="F13" s="6">
        <f>C13/$C$33</f>
        <v>9.1492616259953391E-2</v>
      </c>
    </row>
    <row r="14" spans="1:6" x14ac:dyDescent="0.3">
      <c r="A14" s="19" t="s">
        <v>20</v>
      </c>
      <c r="B14" s="20" t="s">
        <v>15</v>
      </c>
      <c r="C14" s="22">
        <v>35000</v>
      </c>
      <c r="D14" s="4">
        <f t="shared" ref="D14:D32" si="0">C14/$F$10</f>
        <v>921.0526315789474</v>
      </c>
      <c r="E14" s="5">
        <f t="shared" ref="E14:E32" si="1">C14/$F$11</f>
        <v>0.54242541650523057</v>
      </c>
      <c r="F14" s="6">
        <f t="shared" ref="F14:F32" si="2">C14/$C$33</f>
        <v>2.6685346409153076E-3</v>
      </c>
    </row>
    <row r="15" spans="1:6" x14ac:dyDescent="0.3">
      <c r="A15" s="19" t="s">
        <v>20</v>
      </c>
      <c r="B15" s="20" t="s">
        <v>16</v>
      </c>
      <c r="C15" s="22">
        <v>45000</v>
      </c>
      <c r="D15" s="4">
        <f t="shared" si="0"/>
        <v>1184.2105263157894</v>
      </c>
      <c r="E15" s="5">
        <f t="shared" si="1"/>
        <v>0.69740410693529642</v>
      </c>
      <c r="F15" s="6">
        <f t="shared" si="2"/>
        <v>3.4309731097482525E-3</v>
      </c>
    </row>
    <row r="16" spans="1:6" x14ac:dyDescent="0.3">
      <c r="A16" s="19" t="s">
        <v>20</v>
      </c>
      <c r="B16" s="20" t="s">
        <v>17</v>
      </c>
      <c r="C16" s="22">
        <f>1200*27</f>
        <v>32400</v>
      </c>
      <c r="D16" s="4">
        <f t="shared" si="0"/>
        <v>852.63157894736844</v>
      </c>
      <c r="E16" s="5">
        <f t="shared" si="1"/>
        <v>0.50213095699341337</v>
      </c>
      <c r="F16" s="6">
        <f t="shared" si="2"/>
        <v>2.4703006390187415E-3</v>
      </c>
    </row>
    <row r="17" spans="1:6" x14ac:dyDescent="0.3">
      <c r="A17" s="19" t="s">
        <v>20</v>
      </c>
      <c r="B17" s="20" t="s">
        <v>18</v>
      </c>
      <c r="C17" s="22">
        <f>15000*38</f>
        <v>570000</v>
      </c>
      <c r="D17" s="4">
        <f t="shared" si="0"/>
        <v>15000</v>
      </c>
      <c r="E17" s="5">
        <f t="shared" si="1"/>
        <v>8.8337853545137541</v>
      </c>
      <c r="F17" s="6">
        <f t="shared" si="2"/>
        <v>4.3458992723477863E-2</v>
      </c>
    </row>
    <row r="18" spans="1:6" x14ac:dyDescent="0.3">
      <c r="A18" s="19" t="s">
        <v>20</v>
      </c>
      <c r="B18" s="20" t="s">
        <v>22</v>
      </c>
      <c r="C18" s="22">
        <v>16000</v>
      </c>
      <c r="D18" s="4">
        <f t="shared" si="0"/>
        <v>421.05263157894734</v>
      </c>
      <c r="E18" s="5">
        <f t="shared" si="1"/>
        <v>0.24796590468810539</v>
      </c>
      <c r="F18" s="6">
        <f t="shared" si="2"/>
        <v>1.219901550132712E-3</v>
      </c>
    </row>
    <row r="19" spans="1:6" x14ac:dyDescent="0.3">
      <c r="A19" s="19" t="s">
        <v>20</v>
      </c>
      <c r="B19" s="21" t="s">
        <v>21</v>
      </c>
      <c r="C19" s="22"/>
      <c r="D19" s="4">
        <f t="shared" si="0"/>
        <v>0</v>
      </c>
      <c r="E19" s="5">
        <f t="shared" si="1"/>
        <v>0</v>
      </c>
      <c r="F19" s="6">
        <f t="shared" si="2"/>
        <v>0</v>
      </c>
    </row>
    <row r="20" spans="1:6" x14ac:dyDescent="0.3">
      <c r="A20" s="19" t="s">
        <v>27</v>
      </c>
      <c r="B20" s="20" t="s">
        <v>33</v>
      </c>
      <c r="C20" s="22">
        <v>1200000</v>
      </c>
      <c r="D20" s="4">
        <f t="shared" si="0"/>
        <v>31578.947368421053</v>
      </c>
      <c r="E20" s="5">
        <f t="shared" si="1"/>
        <v>18.597442851607905</v>
      </c>
      <c r="F20" s="6">
        <f t="shared" si="2"/>
        <v>9.1492616259953391E-2</v>
      </c>
    </row>
    <row r="21" spans="1:6" x14ac:dyDescent="0.3">
      <c r="A21" s="19" t="s">
        <v>27</v>
      </c>
      <c r="B21" s="20" t="s">
        <v>34</v>
      </c>
      <c r="C21" s="22">
        <f>115*64525</f>
        <v>7420375</v>
      </c>
      <c r="D21" s="4">
        <f t="shared" si="0"/>
        <v>195273.02631578947</v>
      </c>
      <c r="E21" s="5">
        <f t="shared" si="1"/>
        <v>115</v>
      </c>
      <c r="F21" s="6">
        <f t="shared" si="2"/>
        <v>0.56575793531662644</v>
      </c>
    </row>
    <row r="22" spans="1:6" x14ac:dyDescent="0.3">
      <c r="A22" s="19" t="s">
        <v>27</v>
      </c>
      <c r="B22" s="20" t="s">
        <v>35</v>
      </c>
      <c r="C22" s="22">
        <v>150000</v>
      </c>
      <c r="D22" s="4">
        <f t="shared" si="0"/>
        <v>3947.3684210526317</v>
      </c>
      <c r="E22" s="5">
        <f t="shared" si="1"/>
        <v>2.3246803564509881</v>
      </c>
      <c r="F22" s="6">
        <f t="shared" si="2"/>
        <v>1.1436577032494174E-2</v>
      </c>
    </row>
    <row r="23" spans="1:6" x14ac:dyDescent="0.3">
      <c r="A23" s="19" t="s">
        <v>27</v>
      </c>
      <c r="B23" s="20" t="s">
        <v>36</v>
      </c>
      <c r="C23" s="22">
        <f>0.1*C21</f>
        <v>742037.5</v>
      </c>
      <c r="D23" s="4">
        <f t="shared" si="0"/>
        <v>19527.302631578947</v>
      </c>
      <c r="E23" s="5">
        <f t="shared" si="1"/>
        <v>11.5</v>
      </c>
      <c r="F23" s="6">
        <f t="shared" si="2"/>
        <v>5.6575793531662637E-2</v>
      </c>
    </row>
    <row r="24" spans="1:6" x14ac:dyDescent="0.3">
      <c r="A24" s="19" t="s">
        <v>28</v>
      </c>
      <c r="B24" s="20" t="s">
        <v>37</v>
      </c>
      <c r="C24" s="22">
        <v>85000</v>
      </c>
      <c r="D24" s="4">
        <f t="shared" si="0"/>
        <v>2236.8421052631579</v>
      </c>
      <c r="E24" s="5">
        <f t="shared" si="1"/>
        <v>1.3173188686555599</v>
      </c>
      <c r="F24" s="6">
        <f t="shared" si="2"/>
        <v>6.4807269850800323E-3</v>
      </c>
    </row>
    <row r="25" spans="1:6" x14ac:dyDescent="0.3">
      <c r="A25" s="19" t="s">
        <v>29</v>
      </c>
      <c r="B25" s="20" t="s">
        <v>29</v>
      </c>
      <c r="C25" s="22">
        <v>25000</v>
      </c>
      <c r="D25" s="4">
        <f t="shared" si="0"/>
        <v>657.89473684210532</v>
      </c>
      <c r="E25" s="5">
        <f t="shared" si="1"/>
        <v>0.38744672607516467</v>
      </c>
      <c r="F25" s="6">
        <f t="shared" si="2"/>
        <v>1.9060961720823624E-3</v>
      </c>
    </row>
    <row r="26" spans="1:6" x14ac:dyDescent="0.3">
      <c r="A26" s="19" t="s">
        <v>29</v>
      </c>
      <c r="B26" s="20" t="s">
        <v>79</v>
      </c>
      <c r="C26" s="22">
        <v>15000</v>
      </c>
      <c r="D26" s="4">
        <f t="shared" si="0"/>
        <v>394.73684210526318</v>
      </c>
      <c r="E26" s="5">
        <f t="shared" si="1"/>
        <v>0.2324680356450988</v>
      </c>
      <c r="F26" s="6">
        <f t="shared" si="2"/>
        <v>1.1436577032494174E-3</v>
      </c>
    </row>
    <row r="27" spans="1:6" x14ac:dyDescent="0.3">
      <c r="A27" s="19" t="s">
        <v>32</v>
      </c>
      <c r="B27" s="20" t="s">
        <v>32</v>
      </c>
      <c r="C27" s="22">
        <v>55000</v>
      </c>
      <c r="D27" s="4">
        <f t="shared" si="0"/>
        <v>1447.3684210526317</v>
      </c>
      <c r="E27" s="5">
        <f t="shared" si="1"/>
        <v>0.85238279736536227</v>
      </c>
      <c r="F27" s="6">
        <f t="shared" si="2"/>
        <v>4.193411578581197E-3</v>
      </c>
    </row>
    <row r="28" spans="1:6" x14ac:dyDescent="0.3">
      <c r="A28" s="19" t="s">
        <v>23</v>
      </c>
      <c r="B28" s="20" t="s">
        <v>23</v>
      </c>
      <c r="C28" s="22">
        <v>0</v>
      </c>
      <c r="D28" s="4">
        <f t="shared" si="0"/>
        <v>0</v>
      </c>
      <c r="E28" s="5">
        <f t="shared" si="1"/>
        <v>0</v>
      </c>
      <c r="F28" s="6">
        <f t="shared" si="2"/>
        <v>0</v>
      </c>
    </row>
    <row r="29" spans="1:6" x14ac:dyDescent="0.3">
      <c r="A29" s="19" t="s">
        <v>24</v>
      </c>
      <c r="B29" s="20" t="s">
        <v>25</v>
      </c>
      <c r="C29" s="22">
        <f>10000000*0.06</f>
        <v>600000</v>
      </c>
      <c r="D29" s="4">
        <f t="shared" si="0"/>
        <v>15789.473684210527</v>
      </c>
      <c r="E29" s="5">
        <f t="shared" si="1"/>
        <v>9.2987214258039526</v>
      </c>
      <c r="F29" s="6">
        <f t="shared" si="2"/>
        <v>4.5746308129976695E-2</v>
      </c>
    </row>
    <row r="30" spans="1:6" x14ac:dyDescent="0.3">
      <c r="A30" s="19" t="s">
        <v>24</v>
      </c>
      <c r="B30" s="20" t="s">
        <v>26</v>
      </c>
      <c r="C30" s="22">
        <f>10000000*0.025</f>
        <v>250000</v>
      </c>
      <c r="D30" s="4">
        <f t="shared" si="0"/>
        <v>6578.9473684210525</v>
      </c>
      <c r="E30" s="5">
        <f t="shared" si="1"/>
        <v>3.8744672607516466</v>
      </c>
      <c r="F30" s="6">
        <f t="shared" si="2"/>
        <v>1.9060961720823624E-2</v>
      </c>
    </row>
    <row r="31" spans="1:6" x14ac:dyDescent="0.3">
      <c r="A31" s="19" t="s">
        <v>24</v>
      </c>
      <c r="B31" s="20" t="s">
        <v>38</v>
      </c>
      <c r="C31" s="22">
        <f>5000*27</f>
        <v>135000</v>
      </c>
      <c r="D31" s="4">
        <f t="shared" si="0"/>
        <v>3552.6315789473683</v>
      </c>
      <c r="E31" s="5">
        <f t="shared" si="1"/>
        <v>2.0922123208058894</v>
      </c>
      <c r="F31" s="6">
        <f t="shared" si="2"/>
        <v>1.0292919329244758E-2</v>
      </c>
    </row>
    <row r="32" spans="1:6" ht="15" thickBot="1" x14ac:dyDescent="0.35">
      <c r="A32" s="34" t="s">
        <v>30</v>
      </c>
      <c r="B32" s="35" t="s">
        <v>30</v>
      </c>
      <c r="C32" s="36">
        <f>27*20000</f>
        <v>540000</v>
      </c>
      <c r="D32" s="37">
        <f t="shared" si="0"/>
        <v>14210.526315789473</v>
      </c>
      <c r="E32" s="38">
        <f t="shared" si="1"/>
        <v>8.3688492832235575</v>
      </c>
      <c r="F32" s="39">
        <f t="shared" si="2"/>
        <v>4.117167731697903E-2</v>
      </c>
    </row>
    <row r="33" spans="1:6" ht="15" thickBot="1" x14ac:dyDescent="0.35">
      <c r="A33" s="40" t="s">
        <v>66</v>
      </c>
      <c r="B33" s="41"/>
      <c r="C33" s="42">
        <f>SUM(C13:C32)</f>
        <v>13115812.5</v>
      </c>
      <c r="D33" s="42">
        <f>SUM(D13:D32)</f>
        <v>345152.96052631573</v>
      </c>
      <c r="E33" s="42">
        <f>SUM(E13:E32)</f>
        <v>203.26714451762882</v>
      </c>
      <c r="F33" s="43">
        <f>SUM(F13:F32)</f>
        <v>1.0000000000000002</v>
      </c>
    </row>
    <row r="34" spans="1:6" ht="15.6" x14ac:dyDescent="0.3">
      <c r="A34" s="13" t="s">
        <v>67</v>
      </c>
      <c r="B34" s="14"/>
      <c r="C34" s="14" t="s">
        <v>78</v>
      </c>
      <c r="D34" s="14" t="s">
        <v>3</v>
      </c>
      <c r="E34" s="14" t="s">
        <v>4</v>
      </c>
      <c r="F34" s="15" t="s">
        <v>31</v>
      </c>
    </row>
    <row r="35" spans="1:6" x14ac:dyDescent="0.3">
      <c r="A35" s="50" t="s">
        <v>75</v>
      </c>
      <c r="B35" s="49" t="s">
        <v>68</v>
      </c>
      <c r="C35" s="60">
        <f>'Mortgage Income Estimate'!B19</f>
        <v>9198098.4355282299</v>
      </c>
      <c r="D35" s="4">
        <f t="shared" ref="D35:D45" si="3">C35/$F$10</f>
        <v>242055.22198758498</v>
      </c>
      <c r="E35" s="5">
        <f t="shared" ref="E35:E43" si="4">C35/$F$11</f>
        <v>142.55092499850028</v>
      </c>
      <c r="F35" s="6">
        <f t="shared" ref="F35:F43" si="5">C35/$C$33</f>
        <v>0.701298408735885</v>
      </c>
    </row>
    <row r="36" spans="1:6" x14ac:dyDescent="0.3">
      <c r="A36" s="50" t="s">
        <v>75</v>
      </c>
      <c r="B36" s="49" t="s">
        <v>69</v>
      </c>
      <c r="C36" s="22">
        <f>38*30000</f>
        <v>1140000</v>
      </c>
      <c r="D36" s="4">
        <f t="shared" si="3"/>
        <v>30000</v>
      </c>
      <c r="E36" s="5">
        <f t="shared" si="4"/>
        <v>17.667570709027508</v>
      </c>
      <c r="F36" s="6">
        <f t="shared" si="5"/>
        <v>8.6917985446955726E-2</v>
      </c>
    </row>
    <row r="37" spans="1:6" x14ac:dyDescent="0.3">
      <c r="A37" s="50" t="s">
        <v>75</v>
      </c>
      <c r="B37" s="49" t="s">
        <v>70</v>
      </c>
      <c r="C37" s="22">
        <v>500000</v>
      </c>
      <c r="D37" s="4">
        <f t="shared" si="3"/>
        <v>13157.894736842105</v>
      </c>
      <c r="E37" s="5">
        <f t="shared" si="4"/>
        <v>7.7489345215032932</v>
      </c>
      <c r="F37" s="6">
        <f t="shared" si="5"/>
        <v>3.8121923441647249E-2</v>
      </c>
    </row>
    <row r="38" spans="1:6" x14ac:dyDescent="0.3">
      <c r="A38" s="50" t="s">
        <v>75</v>
      </c>
      <c r="B38" s="49" t="s">
        <v>71</v>
      </c>
      <c r="C38" s="22"/>
      <c r="D38" s="4">
        <f t="shared" si="3"/>
        <v>0</v>
      </c>
      <c r="E38" s="5">
        <f t="shared" si="4"/>
        <v>0</v>
      </c>
      <c r="F38" s="6">
        <f t="shared" si="5"/>
        <v>0</v>
      </c>
    </row>
    <row r="39" spans="1:6" x14ac:dyDescent="0.3">
      <c r="A39" s="50" t="s">
        <v>75</v>
      </c>
      <c r="B39" s="23" t="s">
        <v>21</v>
      </c>
      <c r="C39" s="22"/>
      <c r="D39" s="4">
        <f t="shared" si="3"/>
        <v>0</v>
      </c>
      <c r="E39" s="5">
        <f t="shared" si="4"/>
        <v>0</v>
      </c>
      <c r="F39" s="6">
        <f t="shared" si="5"/>
        <v>0</v>
      </c>
    </row>
    <row r="40" spans="1:6" x14ac:dyDescent="0.3">
      <c r="A40" s="50" t="s">
        <v>75</v>
      </c>
      <c r="B40" s="23" t="s">
        <v>21</v>
      </c>
      <c r="C40" s="22"/>
      <c r="D40" s="4">
        <f t="shared" si="3"/>
        <v>0</v>
      </c>
      <c r="E40" s="5">
        <f t="shared" si="4"/>
        <v>0</v>
      </c>
      <c r="F40" s="6">
        <f t="shared" si="5"/>
        <v>0</v>
      </c>
    </row>
    <row r="41" spans="1:6" x14ac:dyDescent="0.3">
      <c r="A41" s="50" t="s">
        <v>75</v>
      </c>
      <c r="B41" s="59" t="s">
        <v>72</v>
      </c>
      <c r="C41" s="22">
        <f>1949511-890617+18821</f>
        <v>1077715</v>
      </c>
      <c r="D41" s="4">
        <f t="shared" si="3"/>
        <v>28360.92105263158</v>
      </c>
      <c r="E41" s="5">
        <f t="shared" si="4"/>
        <v>16.702285935683843</v>
      </c>
      <c r="F41" s="6">
        <f t="shared" si="5"/>
        <v>8.2169137443829726E-2</v>
      </c>
    </row>
    <row r="42" spans="1:6" x14ac:dyDescent="0.3">
      <c r="A42" s="50" t="s">
        <v>75</v>
      </c>
      <c r="B42" s="59" t="s">
        <v>73</v>
      </c>
      <c r="C42" s="22">
        <v>1200000</v>
      </c>
      <c r="D42" s="4">
        <f t="shared" si="3"/>
        <v>31578.947368421053</v>
      </c>
      <c r="E42" s="5">
        <f t="shared" si="4"/>
        <v>18.597442851607905</v>
      </c>
      <c r="F42" s="6">
        <f t="shared" si="5"/>
        <v>9.1492616259953391E-2</v>
      </c>
    </row>
    <row r="43" spans="1:6" ht="15" thickBot="1" x14ac:dyDescent="0.35">
      <c r="A43" s="50" t="s">
        <v>75</v>
      </c>
      <c r="B43" s="59" t="s">
        <v>74</v>
      </c>
      <c r="C43" s="22"/>
      <c r="D43" s="4">
        <f t="shared" si="3"/>
        <v>0</v>
      </c>
      <c r="E43" s="5">
        <f t="shared" si="4"/>
        <v>0</v>
      </c>
      <c r="F43" s="6">
        <f t="shared" si="5"/>
        <v>0</v>
      </c>
    </row>
    <row r="44" spans="1:6" x14ac:dyDescent="0.3">
      <c r="A44" s="55" t="s">
        <v>76</v>
      </c>
      <c r="B44" s="56"/>
      <c r="C44" s="57">
        <f>SUM(C35:C43)</f>
        <v>13115813.43552823</v>
      </c>
      <c r="D44" s="57"/>
      <c r="E44" s="57"/>
      <c r="F44" s="58"/>
    </row>
    <row r="45" spans="1:6" ht="15" thickBot="1" x14ac:dyDescent="0.35">
      <c r="A45" s="51" t="s">
        <v>77</v>
      </c>
      <c r="B45" s="52"/>
      <c r="C45" s="53">
        <f>C33-C44</f>
        <v>-0.9355282299220562</v>
      </c>
      <c r="D45" s="53">
        <f t="shared" si="3"/>
        <v>-2.4619163945317268E-2</v>
      </c>
      <c r="E45" s="53">
        <f t="shared" ref="E45" si="6">C45/$F$11</f>
        <v>-1.4498693993367784E-5</v>
      </c>
      <c r="F45" s="54">
        <f t="shared" ref="F45" si="7">C45/$C$33</f>
        <v>-7.1328271117176783E-8</v>
      </c>
    </row>
  </sheetData>
  <mergeCells count="1">
    <mergeCell ref="A2:F2"/>
  </mergeCells>
  <conditionalFormatting sqref="C45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9B16F-9697-4495-91D5-A5310EA4B608}">
  <dimension ref="A2:K19"/>
  <sheetViews>
    <sheetView workbookViewId="0">
      <selection activeCell="B4" sqref="B4"/>
    </sheetView>
  </sheetViews>
  <sheetFormatPr defaultRowHeight="14.4" x14ac:dyDescent="0.3"/>
  <cols>
    <col min="1" max="1" width="28" customWidth="1"/>
    <col min="2" max="11" width="18.109375" customWidth="1"/>
  </cols>
  <sheetData>
    <row r="2" spans="1:11" x14ac:dyDescent="0.3">
      <c r="B2" s="24" t="s">
        <v>45</v>
      </c>
      <c r="C2" s="24" t="s">
        <v>56</v>
      </c>
      <c r="D2" s="24" t="s">
        <v>57</v>
      </c>
      <c r="E2" s="24" t="s">
        <v>58</v>
      </c>
      <c r="F2" s="24" t="s">
        <v>59</v>
      </c>
      <c r="G2" s="24" t="s">
        <v>60</v>
      </c>
      <c r="H2" s="24" t="s">
        <v>61</v>
      </c>
      <c r="I2" s="24" t="s">
        <v>62</v>
      </c>
      <c r="J2" s="24" t="s">
        <v>63</v>
      </c>
      <c r="K2" s="24" t="s">
        <v>64</v>
      </c>
    </row>
    <row r="3" spans="1:11" x14ac:dyDescent="0.3">
      <c r="A3" t="s">
        <v>55</v>
      </c>
      <c r="B3" s="25">
        <f>'Sources Uses'!$F$11/'Sources Uses'!$F$10</f>
        <v>1698.0263157894738</v>
      </c>
      <c r="C3" s="25">
        <f>'Sources Uses'!$F$11/'Sources Uses'!$F$10</f>
        <v>1698.0263157894738</v>
      </c>
      <c r="D3" s="25">
        <f>'Sources Uses'!$F$11/'Sources Uses'!$F$10</f>
        <v>1698.0263157894738</v>
      </c>
      <c r="E3" s="25">
        <f>'Sources Uses'!$F$11/'Sources Uses'!$F$10</f>
        <v>1698.0263157894738</v>
      </c>
      <c r="F3" s="25">
        <f>'Sources Uses'!$F$11/'Sources Uses'!$F$10</f>
        <v>1698.0263157894738</v>
      </c>
      <c r="G3" s="25">
        <f>'Sources Uses'!$F$11/'Sources Uses'!$F$10</f>
        <v>1698.0263157894738</v>
      </c>
      <c r="H3" s="25">
        <f>'Sources Uses'!$F$11/'Sources Uses'!$F$10</f>
        <v>1698.0263157894738</v>
      </c>
      <c r="I3" s="25">
        <f>'Sources Uses'!$F$11/'Sources Uses'!$F$10</f>
        <v>1698.0263157894738</v>
      </c>
      <c r="J3" s="25">
        <f>'Sources Uses'!$F$11/'Sources Uses'!$F$10</f>
        <v>1698.0263157894738</v>
      </c>
      <c r="K3" s="25">
        <f>'Sources Uses'!$F$11/'Sources Uses'!$F$10</f>
        <v>1698.0263157894738</v>
      </c>
    </row>
    <row r="4" spans="1:11" x14ac:dyDescent="0.3">
      <c r="A4" t="s">
        <v>40</v>
      </c>
      <c r="B4" s="26">
        <f>'Sources Uses'!$E$33*'Mortgage Income Estimate'!$B$3</f>
        <v>345152.96052631579</v>
      </c>
      <c r="C4" s="26">
        <f>'Sources Uses'!$E$33*'Mortgage Income Estimate'!$B$3</f>
        <v>345152.96052631579</v>
      </c>
      <c r="D4" s="26">
        <f>'Sources Uses'!$E$33*'Mortgage Income Estimate'!$B$3</f>
        <v>345152.96052631579</v>
      </c>
      <c r="E4" s="26">
        <f>'Sources Uses'!$E$33*'Mortgage Income Estimate'!$B$3</f>
        <v>345152.96052631579</v>
      </c>
      <c r="F4" s="26">
        <f>'Sources Uses'!$E$33*'Mortgage Income Estimate'!$B$3</f>
        <v>345152.96052631579</v>
      </c>
      <c r="G4" s="26">
        <f>'Sources Uses'!$E$33*'Mortgage Income Estimate'!$B$3</f>
        <v>345152.96052631579</v>
      </c>
      <c r="H4" s="26">
        <f>'Sources Uses'!$E$33*'Mortgage Income Estimate'!$B$3</f>
        <v>345152.96052631579</v>
      </c>
      <c r="I4" s="26">
        <f>'Sources Uses'!$E$33*'Mortgage Income Estimate'!$B$3</f>
        <v>345152.96052631579</v>
      </c>
      <c r="J4" s="26">
        <f>'Sources Uses'!$E$33*'Mortgage Income Estimate'!$B$3</f>
        <v>345152.96052631579</v>
      </c>
      <c r="K4" s="26">
        <f>'Sources Uses'!$E$33*'Mortgage Income Estimate'!$B$3</f>
        <v>345152.96052631579</v>
      </c>
    </row>
    <row r="5" spans="1:11" x14ac:dyDescent="0.3">
      <c r="A5" t="s">
        <v>41</v>
      </c>
      <c r="B5" s="27">
        <v>4</v>
      </c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3">
      <c r="A6" t="s">
        <v>42</v>
      </c>
      <c r="B6" s="28">
        <v>0.6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3">
      <c r="A7" t="s">
        <v>43</v>
      </c>
      <c r="B7" s="29">
        <v>65000</v>
      </c>
      <c r="C7" s="29">
        <v>45000</v>
      </c>
      <c r="D7" s="29">
        <v>85000</v>
      </c>
      <c r="E7" s="29">
        <v>75000</v>
      </c>
      <c r="F7" s="29"/>
      <c r="G7" s="29"/>
      <c r="H7" s="29"/>
      <c r="I7" s="29"/>
      <c r="J7" s="29"/>
      <c r="K7" s="29"/>
    </row>
    <row r="8" spans="1:11" x14ac:dyDescent="0.3">
      <c r="A8" t="s">
        <v>44</v>
      </c>
      <c r="B8" s="30">
        <v>0.32</v>
      </c>
      <c r="C8" s="30">
        <v>0.32</v>
      </c>
      <c r="D8" s="30">
        <v>0.32</v>
      </c>
      <c r="E8" s="30">
        <v>0.32</v>
      </c>
      <c r="F8" s="30">
        <v>0.32</v>
      </c>
      <c r="G8" s="30">
        <v>0.32</v>
      </c>
      <c r="H8" s="30">
        <v>0.32</v>
      </c>
      <c r="I8" s="30">
        <v>0.32</v>
      </c>
      <c r="J8" s="30">
        <v>0.32</v>
      </c>
      <c r="K8" s="30">
        <v>0.32</v>
      </c>
    </row>
    <row r="9" spans="1:11" x14ac:dyDescent="0.3">
      <c r="A9" t="s">
        <v>46</v>
      </c>
      <c r="B9" s="31">
        <f>(B8*B7)/12</f>
        <v>1733.3333333333333</v>
      </c>
      <c r="C9" s="31">
        <f t="shared" ref="C9:K9" si="0">(C8*C7)/12</f>
        <v>1200</v>
      </c>
      <c r="D9" s="31">
        <f t="shared" si="0"/>
        <v>2266.6666666666665</v>
      </c>
      <c r="E9" s="31">
        <f t="shared" si="0"/>
        <v>2000</v>
      </c>
      <c r="F9" s="31">
        <f t="shared" si="0"/>
        <v>0</v>
      </c>
      <c r="G9" s="31">
        <f t="shared" si="0"/>
        <v>0</v>
      </c>
      <c r="H9" s="31">
        <f t="shared" si="0"/>
        <v>0</v>
      </c>
      <c r="I9" s="31">
        <f t="shared" si="0"/>
        <v>0</v>
      </c>
      <c r="J9" s="31">
        <f t="shared" si="0"/>
        <v>0</v>
      </c>
      <c r="K9" s="31">
        <f t="shared" si="0"/>
        <v>0</v>
      </c>
    </row>
    <row r="10" spans="1:11" x14ac:dyDescent="0.3">
      <c r="A10" t="s">
        <v>47</v>
      </c>
      <c r="B10" s="32">
        <f>(B4*0.006)/12</f>
        <v>172.57648026315789</v>
      </c>
      <c r="C10" s="32">
        <f t="shared" ref="C10:J10" si="1">(C4*0.006)/12</f>
        <v>172.57648026315789</v>
      </c>
      <c r="D10" s="32">
        <f t="shared" si="1"/>
        <v>172.57648026315789</v>
      </c>
      <c r="E10" s="32">
        <f t="shared" si="1"/>
        <v>172.57648026315789</v>
      </c>
      <c r="F10" s="32">
        <f t="shared" si="1"/>
        <v>172.57648026315789</v>
      </c>
      <c r="G10" s="32">
        <f t="shared" si="1"/>
        <v>172.57648026315789</v>
      </c>
      <c r="H10" s="32">
        <f t="shared" si="1"/>
        <v>172.57648026315789</v>
      </c>
      <c r="I10" s="32">
        <f t="shared" si="1"/>
        <v>172.57648026315789</v>
      </c>
      <c r="J10" s="32">
        <f t="shared" si="1"/>
        <v>172.57648026315789</v>
      </c>
      <c r="K10" s="32">
        <f t="shared" ref="K10" si="2">(K4*0.006)/12</f>
        <v>172.57648026315789</v>
      </c>
    </row>
    <row r="11" spans="1:11" x14ac:dyDescent="0.3">
      <c r="A11" t="s">
        <v>48</v>
      </c>
      <c r="B11" s="31">
        <f>((B4*0.8)*1.42/100)/12</f>
        <v>326.74480263157892</v>
      </c>
      <c r="C11" s="31">
        <f t="shared" ref="C11:J11" si="3">((C4*0.8)*1.42/100)/12</f>
        <v>326.74480263157892</v>
      </c>
      <c r="D11" s="31">
        <f t="shared" si="3"/>
        <v>326.74480263157892</v>
      </c>
      <c r="E11" s="31">
        <f t="shared" si="3"/>
        <v>326.74480263157892</v>
      </c>
      <c r="F11" s="31">
        <f t="shared" si="3"/>
        <v>326.74480263157892</v>
      </c>
      <c r="G11" s="31">
        <f t="shared" si="3"/>
        <v>326.74480263157892</v>
      </c>
      <c r="H11" s="31">
        <f t="shared" si="3"/>
        <v>326.74480263157892</v>
      </c>
      <c r="I11" s="31">
        <f t="shared" si="3"/>
        <v>326.74480263157892</v>
      </c>
      <c r="J11" s="31">
        <f t="shared" si="3"/>
        <v>326.74480263157892</v>
      </c>
      <c r="K11" s="31">
        <f t="shared" ref="K11" si="4">((K4*0.8)*1.42/100)/12</f>
        <v>326.74480263157892</v>
      </c>
    </row>
    <row r="12" spans="1:11" x14ac:dyDescent="0.3">
      <c r="A12" t="s">
        <v>49</v>
      </c>
      <c r="B12" s="32">
        <f>B9-B10-B11</f>
        <v>1234.0120504385964</v>
      </c>
      <c r="C12" s="32">
        <f t="shared" ref="C12:K12" si="5">C9-C10-C11</f>
        <v>700.6787171052631</v>
      </c>
      <c r="D12" s="32">
        <f t="shared" si="5"/>
        <v>1767.3453837719296</v>
      </c>
      <c r="E12" s="32">
        <f t="shared" si="5"/>
        <v>1500.6787171052631</v>
      </c>
      <c r="F12" s="32">
        <f t="shared" si="5"/>
        <v>-499.32128289473678</v>
      </c>
      <c r="G12" s="32">
        <f t="shared" si="5"/>
        <v>-499.32128289473678</v>
      </c>
      <c r="H12" s="32">
        <f t="shared" si="5"/>
        <v>-499.32128289473678</v>
      </c>
      <c r="I12" s="32">
        <f t="shared" si="5"/>
        <v>-499.32128289473678</v>
      </c>
      <c r="J12" s="32">
        <f t="shared" si="5"/>
        <v>-499.32128289473678</v>
      </c>
      <c r="K12" s="32">
        <f t="shared" si="5"/>
        <v>-499.32128289473678</v>
      </c>
    </row>
    <row r="13" spans="1:11" x14ac:dyDescent="0.3">
      <c r="A13" t="s">
        <v>50</v>
      </c>
      <c r="B13" s="33">
        <v>5.5E-2</v>
      </c>
      <c r="C13" s="33">
        <v>5.5E-2</v>
      </c>
      <c r="D13" s="33">
        <v>5.5E-2</v>
      </c>
      <c r="E13" s="33">
        <v>5.5E-2</v>
      </c>
      <c r="F13" s="33">
        <v>5.5E-2</v>
      </c>
      <c r="G13" s="33">
        <v>5.5E-2</v>
      </c>
      <c r="H13" s="33">
        <v>5.5E-2</v>
      </c>
      <c r="I13" s="33">
        <v>5.5E-2</v>
      </c>
      <c r="J13" s="33">
        <v>5.5E-2</v>
      </c>
      <c r="K13" s="33">
        <v>5.5E-2</v>
      </c>
    </row>
    <row r="14" spans="1:11" x14ac:dyDescent="0.3">
      <c r="A14" t="s">
        <v>51</v>
      </c>
      <c r="B14" s="31">
        <f>PV(B13/12,360,B12)*-1</f>
        <v>217336.37804027027</v>
      </c>
      <c r="C14" s="31">
        <f t="shared" ref="C14:K14" si="6">PV(C13/12,360,C12)*-1</f>
        <v>123404.77104047417</v>
      </c>
      <c r="D14" s="31">
        <f t="shared" si="6"/>
        <v>311267.98504006636</v>
      </c>
      <c r="E14" s="31">
        <f t="shared" si="6"/>
        <v>264302.1815401683</v>
      </c>
      <c r="F14" s="31">
        <f t="shared" si="6"/>
        <v>-87941.344709067052</v>
      </c>
      <c r="G14" s="31">
        <f t="shared" si="6"/>
        <v>-87941.344709067052</v>
      </c>
      <c r="H14" s="31">
        <f t="shared" si="6"/>
        <v>-87941.344709067052</v>
      </c>
      <c r="I14" s="31">
        <f t="shared" si="6"/>
        <v>-87941.344709067052</v>
      </c>
      <c r="J14" s="31">
        <f t="shared" si="6"/>
        <v>-87941.344709067052</v>
      </c>
      <c r="K14" s="31">
        <f t="shared" si="6"/>
        <v>-87941.344709067052</v>
      </c>
    </row>
    <row r="15" spans="1:11" x14ac:dyDescent="0.3">
      <c r="A15" t="s">
        <v>52</v>
      </c>
      <c r="B15" s="27">
        <f>38-4-8-12</f>
        <v>14</v>
      </c>
      <c r="C15" s="27">
        <v>4</v>
      </c>
      <c r="D15" s="27">
        <v>8</v>
      </c>
      <c r="E15" s="27">
        <v>12</v>
      </c>
      <c r="F15" s="27"/>
      <c r="G15" s="27"/>
      <c r="H15" s="27"/>
      <c r="I15" s="27"/>
      <c r="J15" s="27"/>
      <c r="K15" s="27"/>
    </row>
    <row r="17" spans="1:11" x14ac:dyDescent="0.3">
      <c r="A17" t="s">
        <v>54</v>
      </c>
      <c r="B17" s="3">
        <f>B15*B14</f>
        <v>3042709.2925637839</v>
      </c>
      <c r="C17" s="3">
        <f t="shared" ref="C17:J17" si="7">C15*C14</f>
        <v>493619.08416189667</v>
      </c>
      <c r="D17" s="3">
        <f t="shared" si="7"/>
        <v>2490143.8803205309</v>
      </c>
      <c r="E17" s="3">
        <f t="shared" si="7"/>
        <v>3171626.1784820193</v>
      </c>
      <c r="F17" s="3">
        <f t="shared" si="7"/>
        <v>0</v>
      </c>
      <c r="G17" s="3">
        <f t="shared" si="7"/>
        <v>0</v>
      </c>
      <c r="H17" s="3">
        <f t="shared" si="7"/>
        <v>0</v>
      </c>
      <c r="I17" s="3">
        <f t="shared" si="7"/>
        <v>0</v>
      </c>
      <c r="J17" s="3">
        <f t="shared" si="7"/>
        <v>0</v>
      </c>
      <c r="K17" s="3">
        <f t="shared" ref="K17" si="8">K15*K14</f>
        <v>0</v>
      </c>
    </row>
    <row r="19" spans="1:11" x14ac:dyDescent="0.3">
      <c r="A19" t="s">
        <v>65</v>
      </c>
      <c r="B19" s="3">
        <f>SUM(B17:K17)</f>
        <v>9198098.4355282299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CC8F37D6121247A59087B10C61CD72" ma:contentTypeVersion="1" ma:contentTypeDescription="Create a new document." ma:contentTypeScope="" ma:versionID="9d64a703bb0669d7a77438418c8b301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b10bb81fb82c0189e7faf8d74b45b4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9C3D67-1676-43A3-B692-B4A8ECE1E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965FB-D1F5-4347-AED0-BF994747CE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977A98-B643-4776-8170-76352986F20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 Uses</vt:lpstr>
      <vt:lpstr>Mortgage Income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Wooten, Warren</dc:creator>
  <cp:lastModifiedBy>Ippolito, Ruth</cp:lastModifiedBy>
  <dcterms:created xsi:type="dcterms:W3CDTF">2023-01-06T00:47:38Z</dcterms:created>
  <dcterms:modified xsi:type="dcterms:W3CDTF">2024-01-19T19:25:59Z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0x010100B8CC8F37D6121247A59087B10C61CD72</vt:lpwstr>
  </property>
</Properties>
</file>